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ckmedicine-my.sharepoint.com/personal/anita_fung_med_usc_edu/Documents/U Drive/old C/Desktop2/DESKTOP TEMP/"/>
    </mc:Choice>
  </mc:AlternateContent>
  <xr:revisionPtr revIDLastSave="29" documentId="8_{B2EF10A4-C9D3-4179-A924-92F4A3887102}" xr6:coauthVersionLast="47" xr6:coauthVersionMax="47" xr10:uidLastSave="{446521A2-0319-4649-BE72-115684F8EF3D}"/>
  <bookViews>
    <workbookView xWindow="28680" yWindow="-120" windowWidth="29040" windowHeight="15840" xr2:uid="{2A94889E-7547-4039-96EC-D65D1BDFFAEE}"/>
  </bookViews>
  <sheets>
    <sheet name="KSOM SOC Calculator" sheetId="13" r:id="rId1"/>
  </sheets>
  <definedNames>
    <definedName name="_xlnm.Print_Titles" localSheetId="0">'KSOM SOC Calculator'!$1:$3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3" l="1"/>
  <c r="D26" i="13"/>
  <c r="E26" i="13" s="1"/>
  <c r="D25" i="13"/>
  <c r="E25" i="13" s="1"/>
  <c r="D24" i="13"/>
  <c r="E24" i="13" s="1"/>
  <c r="D23" i="13"/>
  <c r="E23" i="13" s="1"/>
  <c r="H57" i="13"/>
  <c r="K57" i="13" s="1"/>
  <c r="H56" i="13"/>
  <c r="K56" i="13" s="1"/>
  <c r="M56" i="13" s="1"/>
  <c r="H53" i="13"/>
  <c r="K53" i="13" s="1"/>
  <c r="H52" i="13"/>
  <c r="K52" i="13" s="1"/>
  <c r="M52" i="13" s="1"/>
  <c r="H51" i="13"/>
  <c r="K51" i="13" s="1"/>
  <c r="M51" i="13" s="1"/>
  <c r="H50" i="13"/>
  <c r="K50" i="13" s="1"/>
  <c r="H49" i="13"/>
  <c r="K49" i="13" s="1"/>
  <c r="M49" i="13" s="1"/>
  <c r="H46" i="13"/>
  <c r="K46" i="13" s="1"/>
  <c r="L46" i="13" s="1"/>
  <c r="H45" i="13"/>
  <c r="K45" i="13" s="1"/>
  <c r="M45" i="13" s="1"/>
  <c r="H44" i="13"/>
  <c r="K44" i="13" s="1"/>
  <c r="M44" i="13" s="1"/>
  <c r="H43" i="13"/>
  <c r="K43" i="13" s="1"/>
  <c r="L43" i="13" s="1"/>
  <c r="H42" i="13"/>
  <c r="K42" i="13" s="1"/>
  <c r="L42" i="13" s="1"/>
  <c r="H39" i="13"/>
  <c r="K39" i="13" s="1"/>
  <c r="M39" i="13" s="1"/>
  <c r="H38" i="13"/>
  <c r="K38" i="13" s="1"/>
  <c r="M38" i="13" s="1"/>
  <c r="H34" i="13"/>
  <c r="K34" i="13" s="1"/>
  <c r="H28" i="13"/>
  <c r="K28" i="13" s="1"/>
  <c r="M28" i="13" s="1"/>
  <c r="D57" i="13"/>
  <c r="E57" i="13" s="1"/>
  <c r="D56" i="13"/>
  <c r="E56" i="13" s="1"/>
  <c r="D52" i="13"/>
  <c r="E52" i="13" s="1"/>
  <c r="D51" i="13"/>
  <c r="E51" i="13" s="1"/>
  <c r="D50" i="13"/>
  <c r="E50" i="13" s="1"/>
  <c r="C12" i="13"/>
  <c r="D46" i="13"/>
  <c r="E46" i="13" s="1"/>
  <c r="D45" i="13"/>
  <c r="E45" i="13" s="1"/>
  <c r="D44" i="13"/>
  <c r="E44" i="13" s="1"/>
  <c r="D43" i="13"/>
  <c r="E43" i="13" s="1"/>
  <c r="D42" i="13"/>
  <c r="E42" i="13" s="1"/>
  <c r="B6" i="13"/>
  <c r="D28" i="13"/>
  <c r="D27" i="13"/>
  <c r="D22" i="13"/>
  <c r="D21" i="13"/>
  <c r="D20" i="13"/>
  <c r="D39" i="13"/>
  <c r="E39" i="13" s="1"/>
  <c r="D38" i="13"/>
  <c r="E38" i="13" s="1"/>
  <c r="D37" i="13"/>
  <c r="E37" i="13" s="1"/>
  <c r="D36" i="13"/>
  <c r="E36" i="13" s="1"/>
  <c r="D35" i="13"/>
  <c r="E35" i="13" s="1"/>
  <c r="D34" i="13"/>
  <c r="E34" i="13" s="1"/>
  <c r="D33" i="13"/>
  <c r="E33" i="13" s="1"/>
  <c r="D32" i="13"/>
  <c r="E32" i="13" s="1"/>
  <c r="D31" i="13"/>
  <c r="L34" i="13" l="1"/>
  <c r="M34" i="13"/>
  <c r="L57" i="13"/>
  <c r="M57" i="13"/>
  <c r="M50" i="13"/>
  <c r="L50" i="13"/>
  <c r="L53" i="13"/>
  <c r="M53" i="13"/>
  <c r="M46" i="13"/>
  <c r="L56" i="13"/>
  <c r="L51" i="13"/>
  <c r="L49" i="13"/>
  <c r="L52" i="13"/>
  <c r="M43" i="13"/>
  <c r="L44" i="13"/>
  <c r="M42" i="13"/>
  <c r="L45" i="13"/>
  <c r="L28" i="13"/>
  <c r="L38" i="13"/>
  <c r="L39" i="13"/>
  <c r="E27" i="13" l="1"/>
  <c r="E22" i="13"/>
  <c r="E21" i="13"/>
  <c r="E20" i="13"/>
  <c r="C11" i="13"/>
  <c r="E31" i="13" l="1"/>
  <c r="B16" i="13"/>
  <c r="C15" i="13"/>
  <c r="C14" i="13"/>
  <c r="C13" i="13"/>
  <c r="C10" i="13"/>
  <c r="C9" i="13"/>
  <c r="D15" i="13" l="1"/>
  <c r="D14" i="13"/>
  <c r="D13" i="13"/>
  <c r="D12" i="13"/>
  <c r="D11" i="13"/>
  <c r="D10" i="13"/>
  <c r="D9" i="13"/>
  <c r="C16" i="13"/>
  <c r="E47" i="13"/>
  <c r="C47" i="13"/>
  <c r="D47" i="13"/>
  <c r="H26" i="13" l="1"/>
  <c r="K26" i="13" s="1"/>
  <c r="L26" i="13" s="1"/>
  <c r="M26" i="13" s="1"/>
  <c r="H25" i="13"/>
  <c r="K25" i="13" s="1"/>
  <c r="L25" i="13" s="1"/>
  <c r="M25" i="13" s="1"/>
  <c r="H24" i="13"/>
  <c r="K24" i="13" s="1"/>
  <c r="L24" i="13" s="1"/>
  <c r="M24" i="13" s="1"/>
  <c r="H23" i="13"/>
  <c r="K23" i="13" s="1"/>
  <c r="H27" i="13"/>
  <c r="K27" i="13" s="1"/>
  <c r="L27" i="13" s="1"/>
  <c r="M27" i="13" s="1"/>
  <c r="H22" i="13"/>
  <c r="K22" i="13" s="1"/>
  <c r="H20" i="13"/>
  <c r="K20" i="13" s="1"/>
  <c r="H21" i="13"/>
  <c r="K21" i="13" s="1"/>
  <c r="L21" i="13" s="1"/>
  <c r="M21" i="13" s="1"/>
  <c r="H32" i="13"/>
  <c r="K32" i="13" s="1"/>
  <c r="L32" i="13" s="1"/>
  <c r="M32" i="13" s="1"/>
  <c r="H31" i="13"/>
  <c r="K31" i="13" s="1"/>
  <c r="H33" i="13"/>
  <c r="K33" i="13" s="1"/>
  <c r="H37" i="13"/>
  <c r="K37" i="13" s="1"/>
  <c r="L37" i="13" s="1"/>
  <c r="M37" i="13" s="1"/>
  <c r="H36" i="13"/>
  <c r="K36" i="13" s="1"/>
  <c r="L36" i="13" s="1"/>
  <c r="M36" i="13" s="1"/>
  <c r="H35" i="13"/>
  <c r="K35" i="13" s="1"/>
  <c r="H58" i="13"/>
  <c r="D40" i="13"/>
  <c r="E40" i="13"/>
  <c r="C40" i="13"/>
  <c r="L23" i="13" l="1"/>
  <c r="M23" i="13" s="1"/>
  <c r="L35" i="13"/>
  <c r="M35" i="13" s="1"/>
  <c r="L33" i="13"/>
  <c r="M33" i="13" s="1"/>
  <c r="L20" i="13"/>
  <c r="M20" i="13" s="1"/>
  <c r="L22" i="13"/>
  <c r="M22" i="13" s="1"/>
  <c r="H47" i="13"/>
  <c r="H40" i="13"/>
  <c r="H29" i="13"/>
  <c r="E28" i="13"/>
  <c r="E29" i="13" s="1"/>
  <c r="D29" i="13"/>
  <c r="C29" i="13"/>
  <c r="E58" i="13"/>
  <c r="D58" i="13"/>
  <c r="C58" i="13"/>
  <c r="L31" i="13" l="1"/>
  <c r="M31" i="13" s="1"/>
  <c r="K29" i="13"/>
  <c r="K40" i="13"/>
  <c r="K58" i="13"/>
  <c r="K47" i="13"/>
  <c r="C54" i="13"/>
  <c r="D49" i="13"/>
  <c r="M47" i="13" l="1"/>
  <c r="L47" i="13"/>
  <c r="M29" i="13"/>
  <c r="L29" i="13"/>
  <c r="M58" i="13"/>
  <c r="L58" i="13"/>
  <c r="M40" i="13"/>
  <c r="L40" i="13"/>
  <c r="E49" i="13"/>
  <c r="D53" i="13"/>
  <c r="D54" i="13" s="1"/>
  <c r="D60" i="13" s="1"/>
  <c r="D62" i="13" s="1"/>
  <c r="H54" i="13"/>
  <c r="H60" i="13" s="1"/>
  <c r="E53" i="13" l="1"/>
  <c r="E54" i="13" s="1"/>
  <c r="E60" i="13" s="1"/>
  <c r="E62" i="13" s="1"/>
  <c r="M54" i="13" l="1"/>
  <c r="M60" i="13" s="1"/>
  <c r="K54" i="13"/>
  <c r="K60" i="13" s="1"/>
  <c r="L54" i="13"/>
  <c r="L60" i="13" s="1"/>
</calcChain>
</file>

<file path=xl/sharedStrings.xml><?xml version="1.0" encoding="utf-8"?>
<sst xmlns="http://schemas.openxmlformats.org/spreadsheetml/2006/main" count="127" uniqueCount="52">
  <si>
    <t>Base</t>
  </si>
  <si>
    <t>Supplement</t>
  </si>
  <si>
    <t>Stipend Administrative</t>
  </si>
  <si>
    <t>Stipend 1</t>
  </si>
  <si>
    <t>Stipend 2</t>
  </si>
  <si>
    <t>Monthly</t>
  </si>
  <si>
    <t>Stipend 3</t>
  </si>
  <si>
    <t>Annualized</t>
  </si>
  <si>
    <t>Total</t>
  </si>
  <si>
    <t>Stipend Administrative 2</t>
  </si>
  <si>
    <t>Stipend 1-3</t>
  </si>
  <si>
    <t>GRXXXXXXX</t>
  </si>
  <si>
    <t>%</t>
  </si>
  <si>
    <t>Variance Check</t>
  </si>
  <si>
    <t>Total Compensation</t>
  </si>
  <si>
    <t>Salary Component</t>
  </si>
  <si>
    <t>Variance</t>
  </si>
  <si>
    <t>Costing Allocation Set- Up</t>
  </si>
  <si>
    <t>University of Southern California</t>
  </si>
  <si>
    <t>Keck School of Medicine</t>
  </si>
  <si>
    <t>PPGG</t>
  </si>
  <si>
    <t>Total IBS</t>
  </si>
  <si>
    <t>Salary Cap Amount</t>
  </si>
  <si>
    <t>% of IBS</t>
  </si>
  <si>
    <t>Instructions:</t>
  </si>
  <si>
    <r>
      <t xml:space="preserve">Only edit fields highlighted in </t>
    </r>
    <r>
      <rPr>
        <sz val="11"/>
        <color theme="7" tint="-0.249977111117893"/>
        <rFont val="Calibri"/>
        <family val="2"/>
        <scheme val="minor"/>
      </rPr>
      <t>yellow</t>
    </r>
    <r>
      <rPr>
        <sz val="11"/>
        <color theme="1"/>
        <rFont val="Calibri"/>
        <family val="2"/>
        <scheme val="minor"/>
      </rPr>
      <t>.  All other fields will auto-populate.</t>
    </r>
  </si>
  <si>
    <t>Salary Over the Cap</t>
  </si>
  <si>
    <t>N/A</t>
  </si>
  <si>
    <t>PG</t>
  </si>
  <si>
    <t>Amount Charged to Grant</t>
  </si>
  <si>
    <t>Allocation Amt</t>
  </si>
  <si>
    <t>Allocation %</t>
  </si>
  <si>
    <t>Acct Subject to Salary Cap</t>
  </si>
  <si>
    <t>Y</t>
  </si>
  <si>
    <t>N</t>
  </si>
  <si>
    <t xml:space="preserve">PGXXXXXXX </t>
  </si>
  <si>
    <t>GFXXXXXXX</t>
  </si>
  <si>
    <t>Salary over the Cap Acct</t>
  </si>
  <si>
    <t>Salary Over the Cap - Calculation Based on Salary Components</t>
  </si>
  <si>
    <t>GR0000000</t>
  </si>
  <si>
    <t>GR0000001</t>
  </si>
  <si>
    <t>GR0000002</t>
  </si>
  <si>
    <t>GR0000003</t>
  </si>
  <si>
    <t>GR0000004</t>
  </si>
  <si>
    <t>GR0000005</t>
  </si>
  <si>
    <t>GR0000006</t>
  </si>
  <si>
    <t>GR0000007</t>
  </si>
  <si>
    <t>GR0000008</t>
  </si>
  <si>
    <t>PG0000000</t>
  </si>
  <si>
    <t>This calculator is meant to be used as a guide for KSOM only.  For any questions regarding this calculator, please reach out to KSOM Finance directly.  Last updated 12/9/2024.</t>
  </si>
  <si>
    <r>
      <t xml:space="preserve">Enter the amount of salary cap, faculty's IBS, and current salary cap in the fields highlighted in </t>
    </r>
    <r>
      <rPr>
        <sz val="11"/>
        <color theme="7" tint="-0.249977111117893"/>
        <rFont val="Calibri"/>
        <family val="2"/>
        <scheme val="minor"/>
      </rPr>
      <t>yellow (line 6-16).</t>
    </r>
  </si>
  <si>
    <t>Salary over the Cap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</si>
</sst>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43" fontId="0" fillId="0" borderId="0" xfId="1" applyFont="1"/>
    <xf numFmtId="43" fontId="2" fillId="0" borderId="1" xfId="1" applyFont="1" applyBorder="1"/>
    <xf numFmtId="0" fontId="3" fillId="0" borderId="0" xfId="0" applyFont="1"/>
    <xf numFmtId="43" fontId="0" fillId="0" borderId="0" xfId="0" applyNumberFormat="1"/>
    <xf numFmtId="0" fontId="2" fillId="0" borderId="0" xfId="0" applyFont="1"/>
    <xf numFmtId="43" fontId="2" fillId="0" borderId="0" xfId="1" applyFont="1"/>
    <xf numFmtId="43" fontId="4" fillId="0" borderId="0" xfId="1" applyFont="1"/>
    <xf numFmtId="43" fontId="2" fillId="3" borderId="3" xfId="0" applyNumberFormat="1" applyFont="1" applyFill="1" applyBorder="1"/>
    <xf numFmtId="43" fontId="2" fillId="0" borderId="0" xfId="0" applyNumberFormat="1" applyFont="1"/>
    <xf numFmtId="0" fontId="2" fillId="0" borderId="0" xfId="0" applyFont="1" applyAlignment="1">
      <alignment wrapText="1"/>
    </xf>
    <xf numFmtId="43" fontId="0" fillId="5" borderId="0" xfId="1" applyFont="1" applyFill="1"/>
    <xf numFmtId="43" fontId="0" fillId="0" borderId="0" xfId="1" applyFont="1" applyFill="1"/>
    <xf numFmtId="43" fontId="2" fillId="0" borderId="2" xfId="1" applyFont="1" applyBorder="1" applyAlignment="1">
      <alignment horizontal="center"/>
    </xf>
    <xf numFmtId="43" fontId="2" fillId="2" borderId="2" xfId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44" fontId="0" fillId="0" borderId="0" xfId="0" applyNumberFormat="1"/>
    <xf numFmtId="10" fontId="0" fillId="0" borderId="0" xfId="3" applyNumberFormat="1" applyFont="1"/>
    <xf numFmtId="164" fontId="0" fillId="0" borderId="0" xfId="3" applyNumberFormat="1" applyFont="1" applyFill="1"/>
    <xf numFmtId="164" fontId="0" fillId="0" borderId="0" xfId="3" applyNumberFormat="1" applyFont="1"/>
    <xf numFmtId="164" fontId="2" fillId="0" borderId="1" xfId="3" applyNumberFormat="1" applyFont="1" applyBorder="1"/>
    <xf numFmtId="43" fontId="2" fillId="0" borderId="0" xfId="1" applyFont="1" applyBorder="1"/>
    <xf numFmtId="164" fontId="2" fillId="2" borderId="2" xfId="3" applyNumberFormat="1" applyFont="1" applyFill="1" applyBorder="1" applyAlignment="1">
      <alignment horizontal="center" vertical="top" wrapText="1"/>
    </xf>
    <xf numFmtId="0" fontId="2" fillId="0" borderId="2" xfId="0" applyFont="1" applyBorder="1"/>
    <xf numFmtId="10" fontId="2" fillId="0" borderId="0" xfId="3" applyNumberFormat="1" applyFont="1" applyBorder="1"/>
    <xf numFmtId="0" fontId="2" fillId="0" borderId="1" xfId="0" applyFont="1" applyBorder="1"/>
    <xf numFmtId="43" fontId="0" fillId="0" borderId="1" xfId="1" applyFont="1" applyBorder="1"/>
    <xf numFmtId="164" fontId="0" fillId="0" borderId="1" xfId="3" applyNumberFormat="1" applyFont="1" applyBorder="1"/>
    <xf numFmtId="0" fontId="0" fillId="0" borderId="1" xfId="0" applyBorder="1"/>
    <xf numFmtId="43" fontId="0" fillId="0" borderId="0" xfId="1" applyFont="1" applyBorder="1"/>
    <xf numFmtId="164" fontId="0" fillId="0" borderId="0" xfId="3" applyNumberFormat="1" applyFont="1" applyBorder="1"/>
    <xf numFmtId="0" fontId="7" fillId="0" borderId="0" xfId="0" applyFont="1"/>
    <xf numFmtId="44" fontId="0" fillId="0" borderId="0" xfId="2" applyFont="1" applyFill="1"/>
    <xf numFmtId="164" fontId="2" fillId="0" borderId="0" xfId="3" applyNumberFormat="1" applyFont="1" applyBorder="1"/>
    <xf numFmtId="43" fontId="2" fillId="0" borderId="1" xfId="0" applyNumberFormat="1" applyFont="1" applyBorder="1"/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0" xfId="1" applyNumberFormat="1" applyFont="1"/>
    <xf numFmtId="165" fontId="0" fillId="0" borderId="1" xfId="1" applyNumberFormat="1" applyFont="1" applyBorder="1"/>
    <xf numFmtId="165" fontId="2" fillId="2" borderId="2" xfId="1" applyNumberFormat="1" applyFont="1" applyFill="1" applyBorder="1" applyAlignment="1">
      <alignment vertical="top"/>
    </xf>
    <xf numFmtId="43" fontId="2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3" fontId="2" fillId="4" borderId="2" xfId="1" applyFont="1" applyFill="1" applyBorder="1" applyAlignment="1">
      <alignment horizontal="center"/>
    </xf>
    <xf numFmtId="43" fontId="2" fillId="6" borderId="0" xfId="1" applyFont="1" applyFill="1" applyBorder="1" applyAlignment="1">
      <alignment horizontal="center"/>
    </xf>
    <xf numFmtId="164" fontId="2" fillId="5" borderId="0" xfId="3" applyNumberFormat="1" applyFont="1" applyFill="1"/>
    <xf numFmtId="43" fontId="0" fillId="5" borderId="0" xfId="0" applyNumberFormat="1" applyFill="1"/>
    <xf numFmtId="0" fontId="5" fillId="5" borderId="0" xfId="0" applyFont="1" applyFill="1"/>
    <xf numFmtId="9" fontId="0" fillId="5" borderId="0" xfId="0" applyNumberFormat="1" applyFill="1"/>
    <xf numFmtId="0" fontId="0" fillId="5" borderId="0" xfId="0" applyFill="1"/>
    <xf numFmtId="164" fontId="0" fillId="5" borderId="0" xfId="3" applyNumberFormat="1" applyFont="1" applyFill="1"/>
    <xf numFmtId="43" fontId="2" fillId="0" borderId="0" xfId="0" applyNumberFormat="1" applyFont="1" applyFill="1"/>
    <xf numFmtId="43" fontId="2" fillId="2" borderId="2" xfId="1" applyFont="1" applyFill="1" applyBorder="1" applyAlignment="1">
      <alignment horizontal="center" vertical="top"/>
    </xf>
    <xf numFmtId="44" fontId="2" fillId="5" borderId="0" xfId="2" applyFont="1" applyFill="1"/>
    <xf numFmtId="44" fontId="2" fillId="0" borderId="1" xfId="2" applyFont="1" applyBorder="1"/>
  </cellXfs>
  <cellStyles count="6">
    <cellStyle name="Comma" xfId="1" builtinId="3"/>
    <cellStyle name="Comma 2" xfId="5" xr:uid="{07AD8CE7-8EFF-46C0-B9CB-0B9EE9F82BAD}"/>
    <cellStyle name="Currency" xfId="2" builtinId="4"/>
    <cellStyle name="Normal" xfId="0" builtinId="0"/>
    <cellStyle name="Normal 2" xfId="4" xr:uid="{C6F22156-B8DE-4D9E-940C-32400A077753}"/>
    <cellStyle name="Percent" xfId="3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18E50-43EE-4747-A9A5-4A30F33673D5}">
  <sheetPr>
    <pageSetUpPr fitToPage="1"/>
  </sheetPr>
  <dimension ref="A1:N72"/>
  <sheetViews>
    <sheetView tabSelected="1" workbookViewId="0">
      <pane xSplit="1" ySplit="18" topLeftCell="B19" activePane="bottomRight" state="frozen"/>
      <selection pane="topRight" activeCell="B1" sqref="B1"/>
      <selection pane="bottomLeft" activeCell="A22" sqref="A22"/>
      <selection pane="bottomRight" activeCell="I11" sqref="I11"/>
    </sheetView>
  </sheetViews>
  <sheetFormatPr defaultColWidth="8.85546875" defaultRowHeight="15" x14ac:dyDescent="0.25"/>
  <cols>
    <col min="1" max="1" width="26.140625" bestFit="1" customWidth="1"/>
    <col min="2" max="2" width="14.7109375" style="1" customWidth="1"/>
    <col min="3" max="3" width="13.28515625" style="20" bestFit="1" customWidth="1"/>
    <col min="4" max="4" width="12.42578125" bestFit="1" customWidth="1"/>
    <col min="5" max="5" width="11.5703125" hidden="1" customWidth="1"/>
    <col min="6" max="6" width="2.28515625" customWidth="1"/>
    <col min="7" max="7" width="14.42578125" customWidth="1"/>
    <col min="8" max="8" width="15.85546875" customWidth="1"/>
    <col min="9" max="9" width="14.85546875" customWidth="1"/>
    <col min="10" max="10" width="5.42578125" bestFit="1" customWidth="1"/>
    <col min="11" max="11" width="14.42578125" bestFit="1" customWidth="1"/>
    <col min="12" max="12" width="11.5703125" style="1" bestFit="1" customWidth="1"/>
    <col min="13" max="13" width="13.140625" style="36" bestFit="1" customWidth="1"/>
    <col min="14" max="14" width="11.28515625" bestFit="1" customWidth="1"/>
  </cols>
  <sheetData>
    <row r="1" spans="1:14" x14ac:dyDescent="0.2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5"/>
    </row>
    <row r="2" spans="1:14" x14ac:dyDescent="0.25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5"/>
    </row>
    <row r="3" spans="1:14" x14ac:dyDescent="0.25">
      <c r="A3" s="44" t="s">
        <v>38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5"/>
    </row>
    <row r="4" spans="1:14" x14ac:dyDescent="0.25">
      <c r="B4" s="12"/>
      <c r="C4" s="19"/>
    </row>
    <row r="5" spans="1:14" x14ac:dyDescent="0.25">
      <c r="B5" s="13" t="s">
        <v>5</v>
      </c>
      <c r="C5" s="13" t="s">
        <v>7</v>
      </c>
      <c r="K5" s="33"/>
    </row>
    <row r="6" spans="1:14" x14ac:dyDescent="0.25">
      <c r="A6" s="5" t="s">
        <v>22</v>
      </c>
      <c r="B6" s="17">
        <f>C6/12</f>
        <v>18491.666666666668</v>
      </c>
      <c r="C6" s="55">
        <v>221900</v>
      </c>
    </row>
    <row r="7" spans="1:14" x14ac:dyDescent="0.25">
      <c r="A7" s="10"/>
      <c r="C7" s="1"/>
      <c r="D7" s="18"/>
    </row>
    <row r="8" spans="1:14" x14ac:dyDescent="0.25">
      <c r="A8" s="5" t="s">
        <v>15</v>
      </c>
      <c r="B8" s="13" t="s">
        <v>5</v>
      </c>
      <c r="C8" s="13" t="s">
        <v>7</v>
      </c>
      <c r="D8" s="24" t="s">
        <v>23</v>
      </c>
    </row>
    <row r="9" spans="1:14" x14ac:dyDescent="0.25">
      <c r="A9" t="s">
        <v>0</v>
      </c>
      <c r="B9" s="11">
        <v>15000</v>
      </c>
      <c r="C9" s="1">
        <f t="shared" ref="C9:C15" si="0">B9*12</f>
        <v>180000</v>
      </c>
      <c r="D9" s="20">
        <f>B9/$B$16</f>
        <v>0.6</v>
      </c>
    </row>
    <row r="10" spans="1:14" x14ac:dyDescent="0.25">
      <c r="A10" t="s">
        <v>1</v>
      </c>
      <c r="B10" s="11">
        <v>8000</v>
      </c>
      <c r="C10" s="1">
        <f t="shared" si="0"/>
        <v>96000</v>
      </c>
      <c r="D10" s="20">
        <f>B10/$B$16</f>
        <v>0.32</v>
      </c>
    </row>
    <row r="11" spans="1:14" x14ac:dyDescent="0.25">
      <c r="A11" t="s">
        <v>2</v>
      </c>
      <c r="B11" s="11">
        <v>0</v>
      </c>
      <c r="C11" s="1">
        <f t="shared" si="0"/>
        <v>0</v>
      </c>
      <c r="D11" s="20">
        <f>B11/$B$16</f>
        <v>0</v>
      </c>
      <c r="K11" s="18"/>
    </row>
    <row r="12" spans="1:14" x14ac:dyDescent="0.25">
      <c r="A12" t="s">
        <v>9</v>
      </c>
      <c r="B12" s="11">
        <v>0</v>
      </c>
      <c r="C12" s="1">
        <f t="shared" si="0"/>
        <v>0</v>
      </c>
      <c r="D12" s="20">
        <f t="shared" ref="D12:D15" si="1">B12/$B$16</f>
        <v>0</v>
      </c>
    </row>
    <row r="13" spans="1:14" x14ac:dyDescent="0.25">
      <c r="A13" t="s">
        <v>3</v>
      </c>
      <c r="B13" s="11">
        <v>2000</v>
      </c>
      <c r="C13" s="1">
        <f t="shared" si="0"/>
        <v>24000</v>
      </c>
      <c r="D13" s="20">
        <f t="shared" si="1"/>
        <v>0.08</v>
      </c>
    </row>
    <row r="14" spans="1:14" x14ac:dyDescent="0.25">
      <c r="A14" t="s">
        <v>4</v>
      </c>
      <c r="B14" s="11"/>
      <c r="C14" s="1">
        <f t="shared" si="0"/>
        <v>0</v>
      </c>
      <c r="D14" s="20">
        <f t="shared" si="1"/>
        <v>0</v>
      </c>
    </row>
    <row r="15" spans="1:14" x14ac:dyDescent="0.25">
      <c r="A15" t="s">
        <v>6</v>
      </c>
      <c r="B15" s="11">
        <v>0</v>
      </c>
      <c r="C15" s="1">
        <f t="shared" si="0"/>
        <v>0</v>
      </c>
      <c r="D15" s="20">
        <f t="shared" si="1"/>
        <v>0</v>
      </c>
    </row>
    <row r="16" spans="1:14" x14ac:dyDescent="0.25">
      <c r="A16" s="5" t="s">
        <v>21</v>
      </c>
      <c r="B16" s="56">
        <f>SUM(B9:B15)</f>
        <v>25000</v>
      </c>
      <c r="C16" s="56">
        <f>SUM(C9:C15)</f>
        <v>300000</v>
      </c>
      <c r="D16" s="21">
        <f>SUM(D9:D15)</f>
        <v>0.99999999999999989</v>
      </c>
    </row>
    <row r="17" spans="1:14" x14ac:dyDescent="0.25">
      <c r="A17" s="5"/>
      <c r="B17" s="22"/>
      <c r="C17" s="25"/>
      <c r="D17" s="22"/>
      <c r="E17" s="22"/>
      <c r="F17" s="22"/>
      <c r="G17" s="22"/>
      <c r="H17" s="22"/>
      <c r="I17" s="4"/>
    </row>
    <row r="18" spans="1:14" x14ac:dyDescent="0.25">
      <c r="A18" s="1"/>
      <c r="B18" s="45" t="s">
        <v>17</v>
      </c>
      <c r="C18" s="45"/>
      <c r="D18" s="45"/>
      <c r="E18" s="45"/>
      <c r="F18" s="41"/>
      <c r="G18" s="46" t="s">
        <v>51</v>
      </c>
      <c r="H18" s="46"/>
      <c r="I18" s="46"/>
      <c r="J18" s="46"/>
      <c r="K18" s="46"/>
      <c r="L18" s="46"/>
      <c r="M18" s="46"/>
    </row>
    <row r="19" spans="1:14" ht="28.5" customHeight="1" x14ac:dyDescent="0.25">
      <c r="A19" s="1"/>
      <c r="B19" s="14" t="s">
        <v>20</v>
      </c>
      <c r="C19" s="23" t="s">
        <v>31</v>
      </c>
      <c r="D19" s="43" t="s">
        <v>30</v>
      </c>
      <c r="E19" s="15" t="s">
        <v>7</v>
      </c>
      <c r="F19" s="42"/>
      <c r="G19" s="43" t="s">
        <v>32</v>
      </c>
      <c r="H19" s="43" t="s">
        <v>29</v>
      </c>
      <c r="I19" s="43" t="s">
        <v>37</v>
      </c>
      <c r="J19" s="16" t="s">
        <v>12</v>
      </c>
      <c r="K19" s="43" t="s">
        <v>26</v>
      </c>
      <c r="L19" s="54" t="s">
        <v>8</v>
      </c>
      <c r="M19" s="40" t="s">
        <v>16</v>
      </c>
    </row>
    <row r="20" spans="1:14" x14ac:dyDescent="0.25">
      <c r="A20" s="6" t="s">
        <v>0</v>
      </c>
      <c r="B20" s="11" t="s">
        <v>39</v>
      </c>
      <c r="C20" s="47">
        <v>5.2186000000000003E-2</v>
      </c>
      <c r="D20" s="4">
        <f>$B$9*C20</f>
        <v>782.79000000000008</v>
      </c>
      <c r="E20" s="4">
        <f>D20*12</f>
        <v>9393.4800000000014</v>
      </c>
      <c r="F20" s="4"/>
      <c r="G20" s="48" t="s">
        <v>33</v>
      </c>
      <c r="H20" s="4">
        <f>IF(G20 = "N", 0, ($C$6/12*C20*$D$9))</f>
        <v>579.00367000000006</v>
      </c>
      <c r="I20" s="49" t="s">
        <v>48</v>
      </c>
      <c r="J20" s="50">
        <v>1</v>
      </c>
      <c r="K20" s="4">
        <f t="shared" ref="K20:K28" si="2">IF(H20 = 0, 0, D20-H20)</f>
        <v>203.78633000000002</v>
      </c>
      <c r="L20" s="1">
        <f t="shared" ref="L20:L28" si="3">K20+H20</f>
        <v>782.79000000000008</v>
      </c>
      <c r="M20" s="36">
        <f t="shared" ref="M20:M28" si="4">IF(K20 = 0, 0, D20-L20)</f>
        <v>0</v>
      </c>
      <c r="N20" s="18"/>
    </row>
    <row r="21" spans="1:14" x14ac:dyDescent="0.25">
      <c r="A21" s="6"/>
      <c r="B21" s="11" t="s">
        <v>40</v>
      </c>
      <c r="C21" s="47">
        <v>0.15</v>
      </c>
      <c r="D21" s="4">
        <f>$B$9*C21</f>
        <v>2250</v>
      </c>
      <c r="E21" s="4">
        <f>D21*12</f>
        <v>27000</v>
      </c>
      <c r="F21" s="4"/>
      <c r="G21" s="48" t="s">
        <v>33</v>
      </c>
      <c r="H21" s="4">
        <f>IF(G21 = "N", 0, ($C$6/12*C21*$D$9))</f>
        <v>1664.25</v>
      </c>
      <c r="I21" s="49" t="s">
        <v>48</v>
      </c>
      <c r="J21" s="50">
        <v>1</v>
      </c>
      <c r="K21" s="4">
        <f t="shared" si="2"/>
        <v>585.75</v>
      </c>
      <c r="L21" s="1">
        <f t="shared" si="3"/>
        <v>2250</v>
      </c>
      <c r="M21" s="36">
        <f t="shared" si="4"/>
        <v>0</v>
      </c>
      <c r="N21" s="18"/>
    </row>
    <row r="22" spans="1:14" x14ac:dyDescent="0.25">
      <c r="A22" s="6"/>
      <c r="B22" s="11" t="s">
        <v>41</v>
      </c>
      <c r="C22" s="47">
        <v>0.151254</v>
      </c>
      <c r="D22" s="4">
        <f>$B$9*C22</f>
        <v>2268.81</v>
      </c>
      <c r="E22" s="4">
        <f>D22*12</f>
        <v>27225.72</v>
      </c>
      <c r="F22" s="4"/>
      <c r="G22" s="48" t="s">
        <v>33</v>
      </c>
      <c r="H22" s="4">
        <f>IF(G22 = "N", 0, ($C$6/12*C22*$D$9))</f>
        <v>1678.1631300000001</v>
      </c>
      <c r="I22" s="49" t="s">
        <v>48</v>
      </c>
      <c r="J22" s="50">
        <v>1</v>
      </c>
      <c r="K22" s="4">
        <f t="shared" si="2"/>
        <v>590.64686999999981</v>
      </c>
      <c r="L22" s="1">
        <f t="shared" si="3"/>
        <v>2268.81</v>
      </c>
      <c r="M22" s="36">
        <f t="shared" si="4"/>
        <v>0</v>
      </c>
      <c r="N22" s="18"/>
    </row>
    <row r="23" spans="1:14" x14ac:dyDescent="0.25">
      <c r="A23" s="6"/>
      <c r="B23" s="11" t="s">
        <v>42</v>
      </c>
      <c r="C23" s="47">
        <v>0.168882</v>
      </c>
      <c r="D23" s="4">
        <f t="shared" ref="D23:D26" si="5">$B$9*C23</f>
        <v>2533.23</v>
      </c>
      <c r="E23" s="4">
        <f t="shared" ref="E23:E26" si="6">D23*12</f>
        <v>30398.760000000002</v>
      </c>
      <c r="F23" s="4"/>
      <c r="G23" s="48" t="s">
        <v>33</v>
      </c>
      <c r="H23" s="4">
        <f>IF(G23 = "N", 0, ($C$6/12*C23*$D$9))</f>
        <v>1873.7457900000002</v>
      </c>
      <c r="I23" s="49" t="s">
        <v>48</v>
      </c>
      <c r="J23" s="50">
        <v>1</v>
      </c>
      <c r="K23" s="4">
        <f t="shared" ref="K23:K26" si="7">IF(H23 = 0, 0, D23-H23)</f>
        <v>659.48420999999985</v>
      </c>
      <c r="L23" s="1">
        <f t="shared" ref="L23:L26" si="8">K23+H23</f>
        <v>2533.23</v>
      </c>
      <c r="M23" s="36">
        <f t="shared" ref="M23:M26" si="9">IF(K23 = 0, 0, D23-L23)</f>
        <v>0</v>
      </c>
      <c r="N23" s="18"/>
    </row>
    <row r="24" spans="1:14" x14ac:dyDescent="0.25">
      <c r="A24" s="6"/>
      <c r="B24" s="11" t="s">
        <v>43</v>
      </c>
      <c r="C24" s="47">
        <v>0.23215</v>
      </c>
      <c r="D24" s="4">
        <f t="shared" si="5"/>
        <v>3482.25</v>
      </c>
      <c r="E24" s="4">
        <f t="shared" si="6"/>
        <v>41787</v>
      </c>
      <c r="F24" s="4"/>
      <c r="G24" s="48" t="s">
        <v>33</v>
      </c>
      <c r="H24" s="4">
        <f>IF(G24 = "N", 0, ($C$6/12*C24*$D$9))</f>
        <v>2575.7042500000002</v>
      </c>
      <c r="I24" s="49" t="s">
        <v>48</v>
      </c>
      <c r="J24" s="50">
        <v>1</v>
      </c>
      <c r="K24" s="4">
        <f t="shared" si="7"/>
        <v>906.54574999999977</v>
      </c>
      <c r="L24" s="1">
        <f t="shared" si="8"/>
        <v>3482.25</v>
      </c>
      <c r="M24" s="36">
        <f t="shared" si="9"/>
        <v>0</v>
      </c>
      <c r="N24" s="18"/>
    </row>
    <row r="25" spans="1:14" x14ac:dyDescent="0.25">
      <c r="A25" s="6"/>
      <c r="B25" s="11" t="s">
        <v>44</v>
      </c>
      <c r="C25" s="47">
        <v>0.1</v>
      </c>
      <c r="D25" s="4">
        <f t="shared" si="5"/>
        <v>1500</v>
      </c>
      <c r="E25" s="4">
        <f t="shared" si="6"/>
        <v>18000</v>
      </c>
      <c r="F25" s="4"/>
      <c r="G25" s="48" t="s">
        <v>33</v>
      </c>
      <c r="H25" s="4">
        <f>IF(G25 = "N", 0, ($C$6/12*C25*$D$9))</f>
        <v>1109.5000000000002</v>
      </c>
      <c r="I25" s="49" t="s">
        <v>48</v>
      </c>
      <c r="J25" s="50">
        <v>1</v>
      </c>
      <c r="K25" s="4">
        <f t="shared" si="7"/>
        <v>390.49999999999977</v>
      </c>
      <c r="L25" s="1">
        <f t="shared" si="8"/>
        <v>1500</v>
      </c>
      <c r="M25" s="36">
        <f t="shared" si="9"/>
        <v>0</v>
      </c>
      <c r="N25" s="18"/>
    </row>
    <row r="26" spans="1:14" x14ac:dyDescent="0.25">
      <c r="A26" s="6"/>
      <c r="B26" s="11" t="s">
        <v>45</v>
      </c>
      <c r="C26" s="47">
        <v>0.05</v>
      </c>
      <c r="D26" s="4">
        <f t="shared" si="5"/>
        <v>750</v>
      </c>
      <c r="E26" s="4">
        <f t="shared" si="6"/>
        <v>9000</v>
      </c>
      <c r="F26" s="4"/>
      <c r="G26" s="48" t="s">
        <v>33</v>
      </c>
      <c r="H26" s="4">
        <f>IF(G26 = "N", 0, ($C$6/12*C26*$D$9))</f>
        <v>554.75000000000011</v>
      </c>
      <c r="I26" s="49" t="s">
        <v>48</v>
      </c>
      <c r="J26" s="50">
        <v>1</v>
      </c>
      <c r="K26" s="4">
        <f t="shared" si="7"/>
        <v>195.24999999999989</v>
      </c>
      <c r="L26" s="1">
        <f t="shared" si="8"/>
        <v>750</v>
      </c>
      <c r="M26" s="36">
        <f t="shared" si="9"/>
        <v>0</v>
      </c>
      <c r="N26" s="18"/>
    </row>
    <row r="27" spans="1:14" x14ac:dyDescent="0.25">
      <c r="A27" s="6"/>
      <c r="B27" s="11" t="s">
        <v>46</v>
      </c>
      <c r="C27" s="47">
        <v>0.08</v>
      </c>
      <c r="D27" s="4">
        <f>$B$9*C27</f>
        <v>1200</v>
      </c>
      <c r="E27" s="4">
        <f>D27*12</f>
        <v>14400</v>
      </c>
      <c r="F27" s="4"/>
      <c r="G27" s="48" t="s">
        <v>34</v>
      </c>
      <c r="H27" s="4">
        <f>IF(G27 = "N", 0, ($C$6/12*C27*$D$9))</f>
        <v>0</v>
      </c>
      <c r="I27" s="49"/>
      <c r="J27" s="50">
        <v>1</v>
      </c>
      <c r="K27" s="4">
        <f t="shared" si="2"/>
        <v>0</v>
      </c>
      <c r="L27" s="1">
        <f t="shared" si="3"/>
        <v>0</v>
      </c>
      <c r="M27" s="36">
        <f t="shared" si="4"/>
        <v>0</v>
      </c>
      <c r="N27" s="18"/>
    </row>
    <row r="28" spans="1:14" x14ac:dyDescent="0.25">
      <c r="A28" s="6"/>
      <c r="B28" s="11" t="s">
        <v>47</v>
      </c>
      <c r="C28" s="47">
        <v>1.5528000000000049E-2</v>
      </c>
      <c r="D28" s="4">
        <f>$B$9*C28</f>
        <v>232.92000000000073</v>
      </c>
      <c r="E28" s="4">
        <f>D28*12</f>
        <v>2795.0400000000086</v>
      </c>
      <c r="F28" s="4"/>
      <c r="G28" s="48" t="s">
        <v>34</v>
      </c>
      <c r="H28" s="4">
        <f>IF(G28 = "N", 0, ($C$6/12*C28*$D$9))</f>
        <v>0</v>
      </c>
      <c r="I28" s="49"/>
      <c r="J28" s="50">
        <v>1</v>
      </c>
      <c r="K28" s="4">
        <f t="shared" si="2"/>
        <v>0</v>
      </c>
      <c r="L28" s="1">
        <f t="shared" si="3"/>
        <v>0</v>
      </c>
      <c r="M28" s="36">
        <f t="shared" si="4"/>
        <v>0</v>
      </c>
    </row>
    <row r="29" spans="1:14" x14ac:dyDescent="0.25">
      <c r="A29" s="6"/>
      <c r="C29" s="21">
        <f>SUM(C20:C28)</f>
        <v>1</v>
      </c>
      <c r="D29" s="2">
        <f>SUM(D20:D28)</f>
        <v>15000</v>
      </c>
      <c r="E29" s="2">
        <f>SUM(E20:E28)</f>
        <v>180000.00000000003</v>
      </c>
      <c r="F29" s="22"/>
      <c r="G29" s="22"/>
      <c r="H29" s="35">
        <f>SUM(H20:H28)</f>
        <v>10035.116840000001</v>
      </c>
      <c r="K29" s="35">
        <f>SUM(K20:K28)</f>
        <v>3531.9631599999993</v>
      </c>
      <c r="L29" s="2">
        <f>SUM(L20:L28)</f>
        <v>13567.08</v>
      </c>
      <c r="M29" s="37">
        <f>SUM(M20:M28)</f>
        <v>0</v>
      </c>
    </row>
    <row r="30" spans="1:14" x14ac:dyDescent="0.25">
      <c r="A30" s="6"/>
      <c r="C30" s="34"/>
      <c r="D30" s="22"/>
      <c r="E30" s="22"/>
      <c r="F30" s="22"/>
      <c r="G30" s="22"/>
    </row>
    <row r="31" spans="1:14" x14ac:dyDescent="0.25">
      <c r="A31" s="6" t="s">
        <v>1</v>
      </c>
      <c r="B31" s="11" t="s">
        <v>39</v>
      </c>
      <c r="C31" s="52">
        <v>0.17382400000000001</v>
      </c>
      <c r="D31" s="4">
        <f>$B$10*C31</f>
        <v>1390.5920000000001</v>
      </c>
      <c r="E31" s="4">
        <f>D31*12</f>
        <v>16687.103999999999</v>
      </c>
      <c r="F31" s="4"/>
      <c r="G31" s="48" t="s">
        <v>33</v>
      </c>
      <c r="H31" s="4">
        <f>IF(G31 = "N", 0, ($C$6/12*C31*$D$10))</f>
        <v>1028.5745493333334</v>
      </c>
      <c r="I31" s="49" t="s">
        <v>48</v>
      </c>
      <c r="J31" s="50">
        <v>1</v>
      </c>
      <c r="K31" s="4">
        <f>IF(H31 = 0, 0, D31-H31)</f>
        <v>362.01745066666672</v>
      </c>
      <c r="L31" s="1">
        <f>K31+H31</f>
        <v>1390.5920000000001</v>
      </c>
      <c r="M31" s="36">
        <f>IF(K31 = 0, 0, D31-L31)</f>
        <v>0</v>
      </c>
      <c r="N31" s="18"/>
    </row>
    <row r="32" spans="1:14" x14ac:dyDescent="0.25">
      <c r="A32" s="6"/>
      <c r="B32" s="11" t="s">
        <v>40</v>
      </c>
      <c r="C32" s="52">
        <v>0.12785199999999999</v>
      </c>
      <c r="D32" s="4">
        <f t="shared" ref="D32:D39" si="10">$B$10*C32</f>
        <v>1022.8159999999999</v>
      </c>
      <c r="E32" s="4">
        <f t="shared" ref="E32:E39" si="11">D32*12</f>
        <v>12273.791999999999</v>
      </c>
      <c r="F32" s="4"/>
      <c r="G32" s="48" t="s">
        <v>33</v>
      </c>
      <c r="H32" s="4">
        <f>IF(G32 = "N", 0, ($C$6/12*C32*$D$10))</f>
        <v>756.54290133333325</v>
      </c>
      <c r="I32" s="49" t="s">
        <v>48</v>
      </c>
      <c r="J32" s="50">
        <v>1</v>
      </c>
      <c r="K32" s="4">
        <f t="shared" ref="K32:K39" si="12">IF(H32 = 0, 0, D32-H32)</f>
        <v>266.27309866666667</v>
      </c>
      <c r="L32" s="1">
        <f t="shared" ref="L32:L39" si="13">K32+H32</f>
        <v>1022.8159999999999</v>
      </c>
      <c r="M32" s="36">
        <f t="shared" ref="M32:M39" si="14">IF(K32 = 0, 0, D32-L32)</f>
        <v>0</v>
      </c>
      <c r="N32" s="18"/>
    </row>
    <row r="33" spans="1:14" x14ac:dyDescent="0.25">
      <c r="A33" s="6"/>
      <c r="B33" s="11" t="s">
        <v>41</v>
      </c>
      <c r="C33" s="52">
        <v>4.2617000000000002E-2</v>
      </c>
      <c r="D33" s="4">
        <f t="shared" si="10"/>
        <v>340.93600000000004</v>
      </c>
      <c r="E33" s="4">
        <f t="shared" si="11"/>
        <v>4091.2320000000004</v>
      </c>
      <c r="F33" s="4"/>
      <c r="G33" s="48" t="s">
        <v>33</v>
      </c>
      <c r="H33" s="4">
        <f>IF(G33 = "N", 0, ($C$6/12*C33*$D$10))</f>
        <v>252.17899466666671</v>
      </c>
      <c r="I33" s="49" t="s">
        <v>48</v>
      </c>
      <c r="J33" s="50">
        <v>1</v>
      </c>
      <c r="K33" s="4">
        <f t="shared" si="12"/>
        <v>88.757005333333325</v>
      </c>
      <c r="L33" s="1">
        <f t="shared" si="13"/>
        <v>340.93600000000004</v>
      </c>
      <c r="M33" s="36">
        <f t="shared" si="14"/>
        <v>0</v>
      </c>
      <c r="N33" s="18"/>
    </row>
    <row r="34" spans="1:14" x14ac:dyDescent="0.25">
      <c r="A34" s="6"/>
      <c r="B34" s="11" t="s">
        <v>42</v>
      </c>
      <c r="C34" s="52">
        <v>0.213087</v>
      </c>
      <c r="D34" s="4">
        <f t="shared" si="10"/>
        <v>1704.6959999999999</v>
      </c>
      <c r="E34" s="4">
        <f t="shared" si="11"/>
        <v>20456.351999999999</v>
      </c>
      <c r="F34" s="4"/>
      <c r="G34" s="48" t="s">
        <v>34</v>
      </c>
      <c r="H34" s="4">
        <f>IF(G34 = "N", 0, ($C$6/12*C34*$D$10))</f>
        <v>0</v>
      </c>
      <c r="I34" s="49" t="s">
        <v>27</v>
      </c>
      <c r="J34" s="50"/>
      <c r="K34" s="4">
        <f t="shared" si="12"/>
        <v>0</v>
      </c>
      <c r="L34" s="1">
        <f t="shared" si="13"/>
        <v>0</v>
      </c>
      <c r="M34" s="36">
        <f t="shared" si="14"/>
        <v>0</v>
      </c>
      <c r="N34" s="18"/>
    </row>
    <row r="35" spans="1:14" x14ac:dyDescent="0.25">
      <c r="A35" s="6"/>
      <c r="B35" s="11" t="s">
        <v>43</v>
      </c>
      <c r="C35" s="52">
        <v>7.1028999999999995E-2</v>
      </c>
      <c r="D35" s="4">
        <f t="shared" si="10"/>
        <v>568.23199999999997</v>
      </c>
      <c r="E35" s="4">
        <f t="shared" si="11"/>
        <v>6818.7839999999997</v>
      </c>
      <c r="F35" s="4"/>
      <c r="G35" s="48" t="s">
        <v>33</v>
      </c>
      <c r="H35" s="4">
        <f>IF(G35 = "N", 0, ($C$6/12*C35*$D$10))</f>
        <v>420.3022693333333</v>
      </c>
      <c r="I35" s="49" t="s">
        <v>48</v>
      </c>
      <c r="J35" s="50">
        <v>1</v>
      </c>
      <c r="K35" s="4">
        <f t="shared" si="12"/>
        <v>147.92973066666667</v>
      </c>
      <c r="L35" s="1">
        <f t="shared" si="13"/>
        <v>568.23199999999997</v>
      </c>
      <c r="M35" s="36">
        <f t="shared" si="14"/>
        <v>0</v>
      </c>
      <c r="N35" s="18"/>
    </row>
    <row r="36" spans="1:14" x14ac:dyDescent="0.25">
      <c r="A36" s="6"/>
      <c r="B36" s="11" t="s">
        <v>44</v>
      </c>
      <c r="C36" s="52">
        <v>7.1028999999999995E-2</v>
      </c>
      <c r="D36" s="4">
        <f t="shared" si="10"/>
        <v>568.23199999999997</v>
      </c>
      <c r="E36" s="4">
        <f t="shared" si="11"/>
        <v>6818.7839999999997</v>
      </c>
      <c r="F36" s="4"/>
      <c r="G36" s="48" t="s">
        <v>33</v>
      </c>
      <c r="H36" s="4">
        <f>IF(G36 = "N", 0, ($C$6/12*C36*$D$10))</f>
        <v>420.3022693333333</v>
      </c>
      <c r="I36" s="49" t="s">
        <v>48</v>
      </c>
      <c r="J36" s="50">
        <v>1</v>
      </c>
      <c r="K36" s="4">
        <f t="shared" si="12"/>
        <v>147.92973066666667</v>
      </c>
      <c r="L36" s="1">
        <f t="shared" si="13"/>
        <v>568.23199999999997</v>
      </c>
      <c r="M36" s="36">
        <f t="shared" si="14"/>
        <v>0</v>
      </c>
      <c r="N36" s="18"/>
    </row>
    <row r="37" spans="1:14" x14ac:dyDescent="0.25">
      <c r="A37" s="6"/>
      <c r="B37" s="11" t="s">
        <v>45</v>
      </c>
      <c r="C37" s="52">
        <v>6.8071000000000007E-2</v>
      </c>
      <c r="D37" s="4">
        <f t="shared" si="10"/>
        <v>544.5680000000001</v>
      </c>
      <c r="E37" s="4">
        <f t="shared" si="11"/>
        <v>6534.8160000000007</v>
      </c>
      <c r="F37" s="4"/>
      <c r="G37" s="48" t="s">
        <v>33</v>
      </c>
      <c r="H37" s="4">
        <f>IF(G37 = "N", 0, ($C$6/12*C37*$D$10))</f>
        <v>402.79879733333343</v>
      </c>
      <c r="I37" s="49" t="s">
        <v>48</v>
      </c>
      <c r="J37" s="50">
        <v>1</v>
      </c>
      <c r="K37" s="4">
        <f t="shared" si="12"/>
        <v>141.76920266666667</v>
      </c>
      <c r="L37" s="1">
        <f t="shared" si="13"/>
        <v>544.5680000000001</v>
      </c>
      <c r="M37" s="36">
        <f t="shared" si="14"/>
        <v>0</v>
      </c>
      <c r="N37" s="18"/>
    </row>
    <row r="38" spans="1:14" x14ac:dyDescent="0.25">
      <c r="A38" s="6"/>
      <c r="B38" s="11" t="s">
        <v>46</v>
      </c>
      <c r="C38" s="52">
        <v>0.18987299999999999</v>
      </c>
      <c r="D38" s="4">
        <f t="shared" si="10"/>
        <v>1518.9839999999999</v>
      </c>
      <c r="E38" s="4">
        <f t="shared" si="11"/>
        <v>18227.807999999997</v>
      </c>
      <c r="F38" s="4"/>
      <c r="G38" s="48" t="s">
        <v>34</v>
      </c>
      <c r="H38" s="4">
        <f>IF(G38 = "N", 0, ($C$6/12*C38*$D$10))</f>
        <v>0</v>
      </c>
      <c r="I38" s="49" t="s">
        <v>27</v>
      </c>
      <c r="J38" s="50"/>
      <c r="K38" s="4">
        <f t="shared" si="12"/>
        <v>0</v>
      </c>
      <c r="L38" s="1">
        <f t="shared" si="13"/>
        <v>0</v>
      </c>
      <c r="M38" s="36">
        <f t="shared" si="14"/>
        <v>0</v>
      </c>
      <c r="N38" s="18"/>
    </row>
    <row r="39" spans="1:14" x14ac:dyDescent="0.25">
      <c r="A39" s="6"/>
      <c r="B39" s="11" t="s">
        <v>48</v>
      </c>
      <c r="C39" s="52">
        <v>4.2618000000000003E-2</v>
      </c>
      <c r="D39" s="4">
        <f t="shared" si="10"/>
        <v>340.94400000000002</v>
      </c>
      <c r="E39" s="4">
        <f t="shared" si="11"/>
        <v>4091.3280000000004</v>
      </c>
      <c r="F39" s="4"/>
      <c r="G39" s="48" t="s">
        <v>34</v>
      </c>
      <c r="H39" s="4">
        <f>IF(G39 = "N", 0, ($C$6/12*C39*$D$10))</f>
        <v>0</v>
      </c>
      <c r="I39" s="49" t="s">
        <v>27</v>
      </c>
      <c r="J39" s="51"/>
      <c r="K39" s="4">
        <f t="shared" si="12"/>
        <v>0</v>
      </c>
      <c r="L39" s="1">
        <f t="shared" si="13"/>
        <v>0</v>
      </c>
      <c r="M39" s="36">
        <f t="shared" si="14"/>
        <v>0</v>
      </c>
    </row>
    <row r="40" spans="1:14" x14ac:dyDescent="0.25">
      <c r="A40" s="6"/>
      <c r="C40" s="21">
        <f>SUM(C31:C39)</f>
        <v>1</v>
      </c>
      <c r="D40" s="2">
        <f>SUM(D31:D39)</f>
        <v>8000.0000000000009</v>
      </c>
      <c r="E40" s="2">
        <f>SUM(E31:E39)</f>
        <v>96000.000000000015</v>
      </c>
      <c r="F40" s="22"/>
      <c r="G40" s="22"/>
      <c r="H40" s="2">
        <f>SUM(H31:H39)</f>
        <v>3280.6997813333332</v>
      </c>
      <c r="K40" s="2">
        <f>SUM(K31:K39)</f>
        <v>1154.6762186666667</v>
      </c>
      <c r="L40" s="2">
        <f>SUM(L31:L39)</f>
        <v>4435.3760000000002</v>
      </c>
      <c r="M40" s="37">
        <f>SUM(M31:M39)</f>
        <v>0</v>
      </c>
    </row>
    <row r="41" spans="1:14" x14ac:dyDescent="0.25">
      <c r="A41" s="6"/>
      <c r="C41" s="34"/>
      <c r="D41" s="22"/>
      <c r="E41" s="22"/>
      <c r="F41" s="22"/>
      <c r="G41" s="22"/>
    </row>
    <row r="42" spans="1:14" x14ac:dyDescent="0.25">
      <c r="A42" s="6" t="s">
        <v>2</v>
      </c>
      <c r="B42" s="11" t="s">
        <v>11</v>
      </c>
      <c r="C42" s="52"/>
      <c r="D42" s="4">
        <f>$B$11*C42</f>
        <v>0</v>
      </c>
      <c r="E42" s="4">
        <f t="shared" ref="E42:E46" si="15">D42*12</f>
        <v>0</v>
      </c>
      <c r="F42" s="4"/>
      <c r="G42" s="48" t="s">
        <v>34</v>
      </c>
      <c r="H42" s="4">
        <f>IF(G42 = "N", 0, ($C$6/12*C42*$D$11))</f>
        <v>0</v>
      </c>
      <c r="I42" s="49" t="s">
        <v>48</v>
      </c>
      <c r="J42" s="50">
        <v>1</v>
      </c>
      <c r="K42" s="4">
        <f t="shared" ref="K42:K46" si="16">IF(H42 = 0, 0, D42-H42)</f>
        <v>0</v>
      </c>
      <c r="L42" s="1">
        <f t="shared" ref="L42:L46" si="17">K42+H42</f>
        <v>0</v>
      </c>
      <c r="M42" s="36">
        <f t="shared" ref="M42:M46" si="18">IF(K42 = 0, 0, D42-L42)</f>
        <v>0</v>
      </c>
    </row>
    <row r="43" spans="1:14" x14ac:dyDescent="0.25">
      <c r="A43" s="6"/>
      <c r="B43" s="11" t="s">
        <v>11</v>
      </c>
      <c r="C43" s="52"/>
      <c r="D43" s="4">
        <f t="shared" ref="D43:D46" si="19">$B$11*C43</f>
        <v>0</v>
      </c>
      <c r="E43" s="4">
        <f t="shared" si="15"/>
        <v>0</v>
      </c>
      <c r="F43" s="4"/>
      <c r="G43" s="48" t="s">
        <v>34</v>
      </c>
      <c r="H43" s="4">
        <f>IF(G43 = "N", 0, ($C$6/12*C43*$D$11))</f>
        <v>0</v>
      </c>
      <c r="I43" s="49" t="s">
        <v>48</v>
      </c>
      <c r="J43" s="50">
        <v>1</v>
      </c>
      <c r="K43" s="4">
        <f t="shared" si="16"/>
        <v>0</v>
      </c>
      <c r="L43" s="1">
        <f t="shared" si="17"/>
        <v>0</v>
      </c>
      <c r="M43" s="36">
        <f t="shared" si="18"/>
        <v>0</v>
      </c>
    </row>
    <row r="44" spans="1:14" x14ac:dyDescent="0.25">
      <c r="A44" s="6"/>
      <c r="B44" s="11" t="s">
        <v>11</v>
      </c>
      <c r="C44" s="52"/>
      <c r="D44" s="4">
        <f t="shared" si="19"/>
        <v>0</v>
      </c>
      <c r="E44" s="4">
        <f t="shared" si="15"/>
        <v>0</v>
      </c>
      <c r="F44" s="4"/>
      <c r="G44" s="48" t="s">
        <v>34</v>
      </c>
      <c r="H44" s="4">
        <f>IF(G44 = "N", 0, ($C$6/12*C44*$D$11))</f>
        <v>0</v>
      </c>
      <c r="I44" s="49" t="s">
        <v>48</v>
      </c>
      <c r="J44" s="50">
        <v>1</v>
      </c>
      <c r="K44" s="4">
        <f t="shared" si="16"/>
        <v>0</v>
      </c>
      <c r="L44" s="1">
        <f t="shared" si="17"/>
        <v>0</v>
      </c>
      <c r="M44" s="36">
        <f t="shared" si="18"/>
        <v>0</v>
      </c>
    </row>
    <row r="45" spans="1:14" x14ac:dyDescent="0.25">
      <c r="A45" s="6"/>
      <c r="B45" s="11" t="s">
        <v>11</v>
      </c>
      <c r="C45" s="52"/>
      <c r="D45" s="4">
        <f t="shared" si="19"/>
        <v>0</v>
      </c>
      <c r="E45" s="4">
        <f t="shared" si="15"/>
        <v>0</v>
      </c>
      <c r="F45" s="4"/>
      <c r="G45" s="48" t="s">
        <v>34</v>
      </c>
      <c r="H45" s="4">
        <f>IF(G45 = "N", 0, ($C$6/12*C45*$D$11))</f>
        <v>0</v>
      </c>
      <c r="I45" s="49" t="s">
        <v>48</v>
      </c>
      <c r="J45" s="50">
        <v>1</v>
      </c>
      <c r="K45" s="4">
        <f t="shared" si="16"/>
        <v>0</v>
      </c>
      <c r="L45" s="1">
        <f t="shared" si="17"/>
        <v>0</v>
      </c>
      <c r="M45" s="36">
        <f t="shared" si="18"/>
        <v>0</v>
      </c>
    </row>
    <row r="46" spans="1:14" x14ac:dyDescent="0.25">
      <c r="A46" s="6"/>
      <c r="B46" s="11" t="s">
        <v>28</v>
      </c>
      <c r="C46" s="52"/>
      <c r="D46" s="4">
        <f t="shared" si="19"/>
        <v>0</v>
      </c>
      <c r="E46" s="4">
        <f t="shared" si="15"/>
        <v>0</v>
      </c>
      <c r="F46" s="4"/>
      <c r="G46" s="48" t="s">
        <v>34</v>
      </c>
      <c r="H46" s="4">
        <f>IF(G46 = "N", 0, ($C$6/12*C46*$D$11))</f>
        <v>0</v>
      </c>
      <c r="I46" s="49" t="s">
        <v>48</v>
      </c>
      <c r="J46" s="50">
        <v>1</v>
      </c>
      <c r="K46" s="4">
        <f t="shared" si="16"/>
        <v>0</v>
      </c>
      <c r="L46" s="1">
        <f t="shared" si="17"/>
        <v>0</v>
      </c>
      <c r="M46" s="36">
        <f t="shared" si="18"/>
        <v>0</v>
      </c>
    </row>
    <row r="47" spans="1:14" x14ac:dyDescent="0.25">
      <c r="A47" s="6"/>
      <c r="C47" s="21">
        <f>SUM(C42:C46)</f>
        <v>0</v>
      </c>
      <c r="D47" s="2">
        <f t="shared" ref="D47:E47" si="20">SUM(D42:D46)</f>
        <v>0</v>
      </c>
      <c r="E47" s="2">
        <f t="shared" si="20"/>
        <v>0</v>
      </c>
      <c r="F47" s="22"/>
      <c r="G47" s="22"/>
      <c r="H47" s="2">
        <f>SUM(H42:H46)</f>
        <v>0</v>
      </c>
      <c r="K47" s="2">
        <f t="shared" ref="K47:M47" si="21">SUM(K42:K46)</f>
        <v>0</v>
      </c>
      <c r="L47" s="2">
        <f t="shared" si="21"/>
        <v>0</v>
      </c>
      <c r="M47" s="37">
        <f t="shared" si="21"/>
        <v>0</v>
      </c>
    </row>
    <row r="48" spans="1:14" x14ac:dyDescent="0.25">
      <c r="A48" s="6"/>
      <c r="C48" s="34"/>
      <c r="D48" s="22"/>
      <c r="E48" s="22"/>
      <c r="F48" s="22"/>
      <c r="G48" s="22"/>
    </row>
    <row r="49" spans="1:13" x14ac:dyDescent="0.25">
      <c r="A49" s="6" t="s">
        <v>9</v>
      </c>
      <c r="B49" s="11" t="s">
        <v>11</v>
      </c>
      <c r="C49" s="52"/>
      <c r="D49" s="4">
        <f>$B$12*C49</f>
        <v>0</v>
      </c>
      <c r="E49" s="4">
        <f t="shared" ref="E49:E53" si="22">D49*12</f>
        <v>0</v>
      </c>
      <c r="F49" s="4"/>
      <c r="G49" s="48" t="s">
        <v>34</v>
      </c>
      <c r="H49" s="4">
        <f>IF(G49 = "N", 0, ($C$6/12*C49*$D$12))</f>
        <v>0</v>
      </c>
      <c r="I49" s="51" t="s">
        <v>36</v>
      </c>
      <c r="J49" s="50">
        <v>1</v>
      </c>
      <c r="K49" s="4">
        <f t="shared" ref="K49:K53" si="23">IF(H49 = 0, 0, D49-H49)</f>
        <v>0</v>
      </c>
      <c r="L49" s="1">
        <f t="shared" ref="L49:L53" si="24">K49+H49</f>
        <v>0</v>
      </c>
      <c r="M49" s="36">
        <f t="shared" ref="M49:M53" si="25">IF(K49 = 0, 0, D49-L49)</f>
        <v>0</v>
      </c>
    </row>
    <row r="50" spans="1:13" x14ac:dyDescent="0.25">
      <c r="A50" s="6"/>
      <c r="B50" s="11"/>
      <c r="C50" s="52"/>
      <c r="D50" s="4">
        <f t="shared" ref="D50:D53" si="26">$B$12*C50</f>
        <v>0</v>
      </c>
      <c r="E50" s="4">
        <f t="shared" si="22"/>
        <v>0</v>
      </c>
      <c r="F50" s="4"/>
      <c r="G50" s="48" t="s">
        <v>34</v>
      </c>
      <c r="H50" s="4">
        <f>IF(G50 = "N", 0, ($C$6/12*C50*$D$12))</f>
        <v>0</v>
      </c>
      <c r="I50" s="51" t="s">
        <v>36</v>
      </c>
      <c r="J50" s="50">
        <v>1</v>
      </c>
      <c r="K50" s="4">
        <f t="shared" si="23"/>
        <v>0</v>
      </c>
      <c r="L50" s="1">
        <f t="shared" si="24"/>
        <v>0</v>
      </c>
      <c r="M50" s="36">
        <f t="shared" si="25"/>
        <v>0</v>
      </c>
    </row>
    <row r="51" spans="1:13" x14ac:dyDescent="0.25">
      <c r="A51" s="6"/>
      <c r="B51" s="11"/>
      <c r="C51" s="52"/>
      <c r="D51" s="4">
        <f t="shared" si="26"/>
        <v>0</v>
      </c>
      <c r="E51" s="4">
        <f t="shared" si="22"/>
        <v>0</v>
      </c>
      <c r="F51" s="4"/>
      <c r="G51" s="48" t="s">
        <v>34</v>
      </c>
      <c r="H51" s="4">
        <f>IF(G51 = "N", 0, ($C$6/12*C51*$D$12))</f>
        <v>0</v>
      </c>
      <c r="I51" s="51" t="s">
        <v>36</v>
      </c>
      <c r="J51" s="50">
        <v>1</v>
      </c>
      <c r="K51" s="4">
        <f t="shared" si="23"/>
        <v>0</v>
      </c>
      <c r="L51" s="1">
        <f t="shared" si="24"/>
        <v>0</v>
      </c>
      <c r="M51" s="36">
        <f t="shared" si="25"/>
        <v>0</v>
      </c>
    </row>
    <row r="52" spans="1:13" x14ac:dyDescent="0.25">
      <c r="A52" s="6"/>
      <c r="B52" s="11"/>
      <c r="C52" s="52"/>
      <c r="D52" s="4">
        <f t="shared" si="26"/>
        <v>0</v>
      </c>
      <c r="E52" s="4">
        <f t="shared" si="22"/>
        <v>0</v>
      </c>
      <c r="F52" s="4"/>
      <c r="G52" s="48" t="s">
        <v>34</v>
      </c>
      <c r="H52" s="4">
        <f>IF(G52 = "N", 0, ($C$6/12*C52*$D$12))</f>
        <v>0</v>
      </c>
      <c r="I52" s="51" t="s">
        <v>36</v>
      </c>
      <c r="J52" s="50">
        <v>1</v>
      </c>
      <c r="K52" s="4">
        <f t="shared" si="23"/>
        <v>0</v>
      </c>
      <c r="L52" s="1">
        <f t="shared" si="24"/>
        <v>0</v>
      </c>
      <c r="M52" s="36">
        <f t="shared" si="25"/>
        <v>0</v>
      </c>
    </row>
    <row r="53" spans="1:13" s="3" customFormat="1" x14ac:dyDescent="0.25">
      <c r="A53" s="7"/>
      <c r="B53" s="11" t="s">
        <v>28</v>
      </c>
      <c r="C53" s="52"/>
      <c r="D53" s="4">
        <f t="shared" si="26"/>
        <v>0</v>
      </c>
      <c r="E53" s="4">
        <f t="shared" si="22"/>
        <v>0</v>
      </c>
      <c r="F53" s="4"/>
      <c r="G53" s="48" t="s">
        <v>34</v>
      </c>
      <c r="H53" s="4">
        <f>IF(G53 = "N", 0, ($C$6/12*C53*$D$12))</f>
        <v>0</v>
      </c>
      <c r="I53" s="51" t="s">
        <v>36</v>
      </c>
      <c r="J53" s="50">
        <v>1</v>
      </c>
      <c r="K53" s="4">
        <f t="shared" si="23"/>
        <v>0</v>
      </c>
      <c r="L53" s="1">
        <f t="shared" si="24"/>
        <v>0</v>
      </c>
      <c r="M53" s="36">
        <f t="shared" si="25"/>
        <v>0</v>
      </c>
    </row>
    <row r="54" spans="1:13" x14ac:dyDescent="0.25">
      <c r="A54" s="6"/>
      <c r="C54" s="21">
        <f>SUM(C49:C53)</f>
        <v>0</v>
      </c>
      <c r="D54" s="2">
        <f t="shared" ref="D54:E54" si="27">SUM(D49:D53)</f>
        <v>0</v>
      </c>
      <c r="E54" s="2">
        <f t="shared" si="27"/>
        <v>0</v>
      </c>
      <c r="F54" s="22"/>
      <c r="G54" s="22"/>
      <c r="H54" s="2">
        <f>SUM(H49:H53)</f>
        <v>0</v>
      </c>
      <c r="K54" s="2">
        <f t="shared" ref="K54:M54" si="28">SUM(K49:K53)</f>
        <v>0</v>
      </c>
      <c r="L54" s="2">
        <f t="shared" si="28"/>
        <v>0</v>
      </c>
      <c r="M54" s="37">
        <f t="shared" si="28"/>
        <v>0</v>
      </c>
    </row>
    <row r="55" spans="1:13" x14ac:dyDescent="0.25">
      <c r="A55" s="6"/>
      <c r="C55" s="34"/>
      <c r="D55" s="22"/>
      <c r="E55" s="22"/>
      <c r="F55" s="22"/>
      <c r="G55" s="22"/>
    </row>
    <row r="56" spans="1:13" x14ac:dyDescent="0.25">
      <c r="A56" s="6" t="s">
        <v>10</v>
      </c>
      <c r="B56" s="11" t="s">
        <v>48</v>
      </c>
      <c r="C56" s="52">
        <v>1</v>
      </c>
      <c r="D56" s="4">
        <f>C56*(SUM($B$13:$B$15))</f>
        <v>2000</v>
      </c>
      <c r="E56" s="4">
        <f t="shared" ref="E56:E57" si="29">D56*12</f>
        <v>24000</v>
      </c>
      <c r="F56" s="4"/>
      <c r="G56" s="48" t="s">
        <v>34</v>
      </c>
      <c r="H56" s="4">
        <f>IF(G56="N",0,($C$6/12*C56*SUM($D$13:$D$15)))</f>
        <v>0</v>
      </c>
      <c r="I56" s="51" t="s">
        <v>35</v>
      </c>
      <c r="J56" s="50">
        <v>1</v>
      </c>
      <c r="K56" s="4">
        <f t="shared" ref="K56:K57" si="30">IF(H56 = 0, 0, D56-H56)</f>
        <v>0</v>
      </c>
      <c r="L56" s="1">
        <f t="shared" ref="L56:L57" si="31">K56+H56</f>
        <v>0</v>
      </c>
      <c r="M56" s="36">
        <f t="shared" ref="M56:M57" si="32">IF(K56 = 0, 0, D56-L56)</f>
        <v>0</v>
      </c>
    </row>
    <row r="57" spans="1:13" x14ac:dyDescent="0.25">
      <c r="A57" s="1"/>
      <c r="B57" s="11" t="s">
        <v>28</v>
      </c>
      <c r="C57" s="52"/>
      <c r="D57" s="4">
        <f>C57*(SUM($B$13:$B$15))</f>
        <v>0</v>
      </c>
      <c r="E57" s="4">
        <f t="shared" si="29"/>
        <v>0</v>
      </c>
      <c r="F57" s="4"/>
      <c r="G57" s="48" t="s">
        <v>34</v>
      </c>
      <c r="H57" s="4">
        <f>IF(G57="N",0,($C$6/12*C57*SUM($D$13:$D$15)))</f>
        <v>0</v>
      </c>
      <c r="I57" s="51" t="s">
        <v>35</v>
      </c>
      <c r="J57" s="50">
        <v>1</v>
      </c>
      <c r="K57" s="4">
        <f t="shared" si="30"/>
        <v>0</v>
      </c>
      <c r="L57" s="1">
        <f t="shared" si="31"/>
        <v>0</v>
      </c>
      <c r="M57" s="36">
        <f t="shared" si="32"/>
        <v>0</v>
      </c>
    </row>
    <row r="58" spans="1:13" x14ac:dyDescent="0.25">
      <c r="A58" s="1"/>
      <c r="C58" s="21">
        <f>SUM(C56:C57)</f>
        <v>1</v>
      </c>
      <c r="D58" s="2">
        <f t="shared" ref="D58:E58" si="33">SUM(D56:D57)</f>
        <v>2000</v>
      </c>
      <c r="E58" s="2">
        <f t="shared" si="33"/>
        <v>24000</v>
      </c>
      <c r="F58" s="22"/>
      <c r="G58" s="22"/>
      <c r="H58" s="2">
        <f>SUM(H56:H57)</f>
        <v>0</v>
      </c>
      <c r="K58" s="2">
        <f t="shared" ref="K58:M58" si="34">SUM(K56:K57)</f>
        <v>0</v>
      </c>
      <c r="L58" s="2">
        <f t="shared" si="34"/>
        <v>0</v>
      </c>
      <c r="M58" s="37">
        <f t="shared" si="34"/>
        <v>0</v>
      </c>
    </row>
    <row r="59" spans="1:13" x14ac:dyDescent="0.25">
      <c r="A59" s="1"/>
    </row>
    <row r="60" spans="1:13" x14ac:dyDescent="0.25">
      <c r="A60" s="6" t="s">
        <v>14</v>
      </c>
      <c r="D60" s="9">
        <f>SUM(D58,D54,D47,D40,D29)</f>
        <v>25000</v>
      </c>
      <c r="E60" s="9">
        <f>SUM(E58,E54,E47,E40,E29)</f>
        <v>300000.00000000006</v>
      </c>
      <c r="F60" s="9"/>
      <c r="G60" s="9"/>
      <c r="H60" s="9">
        <f>SUM(H29,H40,H47,H54,H58)</f>
        <v>13315.816621333333</v>
      </c>
      <c r="K60" s="9">
        <f>SUM(K29,K40,K47,K54,K58)</f>
        <v>4686.6393786666658</v>
      </c>
      <c r="L60" s="6">
        <f>SUM(L29,L40,L47,L54,L58)</f>
        <v>18002.455999999998</v>
      </c>
      <c r="M60" s="38">
        <f>SUM(M29,M40,M47,M54,M58)</f>
        <v>0</v>
      </c>
    </row>
    <row r="61" spans="1:13" x14ac:dyDescent="0.25">
      <c r="A61" s="6"/>
    </row>
    <row r="62" spans="1:13" ht="15.75" thickBot="1" x14ac:dyDescent="0.3">
      <c r="A62" s="6" t="s">
        <v>13</v>
      </c>
      <c r="D62" s="8">
        <f>D60-B16</f>
        <v>0</v>
      </c>
      <c r="E62" s="8">
        <f>E60-C16</f>
        <v>0</v>
      </c>
      <c r="F62" s="53"/>
      <c r="G62" s="9"/>
      <c r="H62" s="9"/>
    </row>
    <row r="65" spans="1:13" x14ac:dyDescent="0.25">
      <c r="A65" s="26" t="s">
        <v>24</v>
      </c>
      <c r="B65" s="27"/>
      <c r="C65" s="28"/>
      <c r="D65" s="29"/>
      <c r="E65" s="29"/>
      <c r="F65" s="29"/>
      <c r="G65" s="29"/>
      <c r="H65" s="29"/>
      <c r="I65" s="29"/>
      <c r="J65" s="29"/>
      <c r="K65" s="29"/>
      <c r="L65" s="27"/>
      <c r="M65" s="39"/>
    </row>
    <row r="66" spans="1:13" x14ac:dyDescent="0.25">
      <c r="A66" t="s">
        <v>50</v>
      </c>
      <c r="B66" s="30"/>
      <c r="C66" s="31"/>
    </row>
    <row r="67" spans="1:13" x14ac:dyDescent="0.25">
      <c r="A67" t="s">
        <v>25</v>
      </c>
    </row>
    <row r="72" spans="1:13" x14ac:dyDescent="0.25">
      <c r="A72" s="32" t="s">
        <v>49</v>
      </c>
    </row>
  </sheetData>
  <mergeCells count="5">
    <mergeCell ref="A1:M1"/>
    <mergeCell ref="A2:M2"/>
    <mergeCell ref="A3:M3"/>
    <mergeCell ref="B18:E18"/>
    <mergeCell ref="G18:M18"/>
  </mergeCells>
  <phoneticPr fontId="9" type="noConversion"/>
  <conditionalFormatting sqref="C20:C29">
    <cfRule type="cellIs" dxfId="6" priority="6" operator="greaterThan">
      <formula>1</formula>
    </cfRule>
  </conditionalFormatting>
  <conditionalFormatting sqref="C29">
    <cfRule type="cellIs" dxfId="5" priority="5" operator="lessThan">
      <formula>1</formula>
    </cfRule>
  </conditionalFormatting>
  <conditionalFormatting sqref="C31:C40 C42:C47 C49:C54 C56:C58">
    <cfRule type="cellIs" dxfId="4" priority="4" operator="greaterThan">
      <formula>1</formula>
    </cfRule>
  </conditionalFormatting>
  <conditionalFormatting sqref="C40 C47 C54 C58">
    <cfRule type="cellIs" dxfId="3" priority="3" operator="lessThan">
      <formula>1</formula>
    </cfRule>
  </conditionalFormatting>
  <conditionalFormatting sqref="E9:H16 I17">
    <cfRule type="notContainsBlanks" dxfId="2" priority="7">
      <formula>LEN(TRIM(E9))&gt;0</formula>
    </cfRule>
  </conditionalFormatting>
  <conditionalFormatting sqref="D62">
    <cfRule type="cellIs" dxfId="1" priority="1" operator="lessThan">
      <formula>-0.01</formula>
    </cfRule>
    <cfRule type="cellIs" dxfId="0" priority="2" operator="greaterThan">
      <formula>0.01</formula>
    </cfRule>
  </conditionalFormatting>
  <pageMargins left="0.7" right="0.7" top="0.5" bottom="0.5" header="0.3" footer="0.3"/>
  <pageSetup scale="77" fitToHeight="0" orientation="landscape" r:id="rId1"/>
</worksheet>
</file>

<file path=docMetadata/LabelInfo.xml><?xml version="1.0" encoding="utf-8"?>
<clbl:labelList xmlns:clbl="http://schemas.microsoft.com/office/2020/mipLabelMetadata">
  <clbl:label id="{ff997aef-1bcd-438b-a8db-706dce72ff67}" enabled="1" method="Standard" siteId="{a63249ac-3e0b-4a24-9e0c-c90ab9891e3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KSOM SOC Calculator</vt:lpstr>
      <vt:lpstr>'KSOM SOC Calculator'!Print_Titles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Fung, Anita</dc:creator>
  <cp:lastModifiedBy>Fung, Anita</cp:lastModifiedBy>
  <cp:lastPrinted>2024-12-09T17:57:49Z</cp:lastPrinted>
  <dcterms:created xsi:type="dcterms:W3CDTF">2022-06-07T20:03:26Z</dcterms:created>
  <dcterms:modified xsi:type="dcterms:W3CDTF">2024-12-09T18:48:33Z</dcterms:modified>
</cp:coreProperties>
</file>